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laren/Desktop/"/>
    </mc:Choice>
  </mc:AlternateContent>
  <xr:revisionPtr revIDLastSave="0" documentId="13_ncr:1_{BEFC68D2-1AE9-F44F-8983-551D05E6E875}" xr6:coauthVersionLast="47" xr6:coauthVersionMax="47" xr10:uidLastSave="{00000000-0000-0000-0000-000000000000}"/>
  <bookViews>
    <workbookView xWindow="0" yWindow="760" windowWidth="30240" windowHeight="17220" xr2:uid="{00000000-000D-0000-FFFF-FFFF00000000}"/>
  </bookViews>
  <sheets>
    <sheet name="Overhead" sheetId="1" r:id="rId1"/>
    <sheet name="Assets" sheetId="2" r:id="rId2"/>
    <sheet name="Consumables" sheetId="3" r:id="rId3"/>
    <sheet name="Vehicle" sheetId="4" r:id="rId4"/>
    <sheet name="Assumptions" sheetId="5" r:id="rId5"/>
    <sheet name="Books &amp; Mix" sheetId="6" r:id="rId6"/>
    <sheet name="Pricing" sheetId="7" r:id="rId7"/>
    <sheet name="Overview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7" l="1"/>
  <c r="E13" i="7" s="1"/>
  <c r="B13" i="7"/>
  <c r="E5" i="4"/>
  <c r="E6" i="4" s="1"/>
  <c r="E5" i="7"/>
  <c r="B14" i="7"/>
  <c r="B10" i="7"/>
  <c r="B9" i="7"/>
  <c r="B8" i="7"/>
  <c r="E6" i="6"/>
  <c r="E5" i="6"/>
  <c r="E28" i="7" l="1"/>
  <c r="E27" i="7"/>
  <c r="E20" i="7"/>
  <c r="B15" i="7"/>
  <c r="E22" i="7" s="1"/>
  <c r="E12" i="7"/>
  <c r="E9" i="4"/>
  <c r="B5" i="7" s="1"/>
  <c r="F14" i="3"/>
  <c r="E14" i="3"/>
  <c r="F13" i="3"/>
  <c r="E13" i="3"/>
  <c r="F12" i="3"/>
  <c r="E12" i="3"/>
  <c r="F11" i="3"/>
  <c r="E11" i="3"/>
  <c r="F10" i="3"/>
  <c r="E10" i="3"/>
  <c r="F9" i="3"/>
  <c r="E9" i="3"/>
  <c r="F8" i="3"/>
  <c r="E8" i="3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D18" i="1"/>
  <c r="D17" i="1"/>
  <c r="D16" i="1"/>
  <c r="D13" i="1"/>
  <c r="D12" i="1"/>
  <c r="D10" i="1"/>
  <c r="D19" i="1"/>
  <c r="B3" i="7" s="1"/>
  <c r="E15" i="3" l="1"/>
  <c r="B22" i="7" s="1"/>
  <c r="E9" i="7" s="1"/>
  <c r="E10" i="6"/>
  <c r="E8" i="6"/>
  <c r="E11" i="6" s="1"/>
  <c r="F15" i="3"/>
  <c r="B23" i="7" s="1"/>
  <c r="E24" i="7" s="1"/>
  <c r="F41" i="2"/>
  <c r="B4" i="7" s="1"/>
  <c r="B6" i="7" s="1"/>
  <c r="E7" i="7"/>
  <c r="E12" i="6" l="1"/>
  <c r="B17" i="7" l="1"/>
  <c r="B18" i="7" s="1"/>
  <c r="E7" i="4"/>
  <c r="B20" i="7" s="1"/>
  <c r="E23" i="7" s="1"/>
  <c r="E6" i="7" l="1"/>
  <c r="E21" i="7"/>
  <c r="E25" i="7" s="1"/>
  <c r="E29" i="7" s="1"/>
  <c r="E30" i="7" s="1"/>
  <c r="E8" i="7"/>
  <c r="E10" i="7" l="1"/>
  <c r="E14" i="7" s="1"/>
  <c r="E15" i="7" s="1"/>
</calcChain>
</file>

<file path=xl/sharedStrings.xml><?xml version="1.0" encoding="utf-8"?>
<sst xmlns="http://schemas.openxmlformats.org/spreadsheetml/2006/main" count="198" uniqueCount="153">
  <si>
    <t>Overhead line</t>
  </si>
  <si>
    <t>Unit cost ($)</t>
  </si>
  <si>
    <t>Qty per year</t>
  </si>
  <si>
    <t>Annual cost ($)</t>
  </si>
  <si>
    <t>Business liability insurance</t>
  </si>
  <si>
    <t>Health insurance (owner)</t>
  </si>
  <si>
    <t>Disability insurance</t>
  </si>
  <si>
    <t>Retirement savings contribution</t>
  </si>
  <si>
    <t>Accounting &amp; tax prep</t>
  </si>
  <si>
    <t>Subscriptions (QB/CRM/apps)</t>
  </si>
  <si>
    <t>Phone &amp; internet</t>
  </si>
  <si>
    <t>Marketing/website</t>
  </si>
  <si>
    <t>Continuing education/clinics/competition</t>
  </si>
  <si>
    <t>Permits &amp; dues (associations, licenses)</t>
  </si>
  <si>
    <t>Shop/storage rent (if any)</t>
  </si>
  <si>
    <t>Asset</t>
  </si>
  <si>
    <t>Type (Long/Short)</t>
  </si>
  <si>
    <t>Purchase cost ($)</t>
  </si>
  <si>
    <t>Useful life (years)</t>
  </si>
  <si>
    <t>Salvage value ($)</t>
  </si>
  <si>
    <t>Annual depreciation ($)</t>
  </si>
  <si>
    <t>Forge</t>
  </si>
  <si>
    <t>Anvil</t>
  </si>
  <si>
    <t>Anvil stand</t>
  </si>
  <si>
    <t>Aprons/Chaps</t>
  </si>
  <si>
    <t>Wire brush</t>
  </si>
  <si>
    <t>Calipers</t>
  </si>
  <si>
    <t>Creaser/Fullering tool</t>
  </si>
  <si>
    <t>Fire tongs</t>
  </si>
  <si>
    <t>Propane tank</t>
  </si>
  <si>
    <t>Hammers</t>
  </si>
  <si>
    <t>Hardies</t>
  </si>
  <si>
    <t>Hoof stand</t>
  </si>
  <si>
    <t>Ruler</t>
  </si>
  <si>
    <t>Hoof testers</t>
  </si>
  <si>
    <t>Nippers</t>
  </si>
  <si>
    <t>Pull-offs</t>
  </si>
  <si>
    <t>Clinchers</t>
  </si>
  <si>
    <t>Clinch gouge</t>
  </si>
  <si>
    <t>Clinch cutter</t>
  </si>
  <si>
    <t>Grinder</t>
  </si>
  <si>
    <t>Welder</t>
  </si>
  <si>
    <t>Knives</t>
  </si>
  <si>
    <t>Nail pullers</t>
  </si>
  <si>
    <t>Magnet</t>
  </si>
  <si>
    <t>Pritchel</t>
  </si>
  <si>
    <t>Forepunch</t>
  </si>
  <si>
    <t>Tool box</t>
  </si>
  <si>
    <t>Vise</t>
  </si>
  <si>
    <t>Water bucket</t>
  </si>
  <si>
    <t>Fire extinguisher</t>
  </si>
  <si>
    <t>Welding flux</t>
  </si>
  <si>
    <t>Wire brush (bench)</t>
  </si>
  <si>
    <t>Long-term asset</t>
  </si>
  <si>
    <t>Item</t>
  </si>
  <si>
    <t>Units per Shoeing</t>
  </si>
  <si>
    <t>Units per Trim</t>
  </si>
  <si>
    <t>Cost per Shoeing ($)</t>
  </si>
  <si>
    <t>Cost per Trim ($)</t>
  </si>
  <si>
    <t>Shoes (pair)</t>
  </si>
  <si>
    <t>Nails (box or partial)</t>
  </si>
  <si>
    <t>Pads (pair)</t>
  </si>
  <si>
    <t>Pour‑ins / sole pack (oz)</t>
  </si>
  <si>
    <t>Hoof sealants/conditioners (oz)</t>
  </si>
  <si>
    <t>Rasps (amortized/job)</t>
  </si>
  <si>
    <t>Vehicle input</t>
  </si>
  <si>
    <t>Value</t>
  </si>
  <si>
    <t>Fuel price ($/gal)</t>
  </si>
  <si>
    <t>Truck MPG (workday average)</t>
  </si>
  <si>
    <t>Avg miles per appointment (round trip)</t>
  </si>
  <si>
    <t>Per-mile maint/tires/repairs ($/mile)</t>
  </si>
  <si>
    <t>Vehicle insurance (annual)</t>
  </si>
  <si>
    <t>Registration &amp; taxes (annual)</t>
  </si>
  <si>
    <t>Loan/lease payments (annual)</t>
  </si>
  <si>
    <t>Assumption</t>
  </si>
  <si>
    <t>Owner target wage ($/hr)</t>
  </si>
  <si>
    <t>Payroll/self-employment burden (%)</t>
  </si>
  <si>
    <t>Payment processing fee (%)</t>
  </si>
  <si>
    <t>Desired profit margin on price (%)</t>
  </si>
  <si>
    <t>Hours per Shoeing (avg)</t>
  </si>
  <si>
    <t>Hours per Trim (avg)</t>
  </si>
  <si>
    <t>Travel time per appointment (hrs)</t>
  </si>
  <si>
    <t>Books input</t>
  </si>
  <si>
    <t>Horses in books – Shoeing</t>
  </si>
  <si>
    <t>Horses in books – Trim</t>
  </si>
  <si>
    <t>Shoeing cycles/year per horse</t>
  </si>
  <si>
    <t>Trim cycles/year per horse</t>
  </si>
  <si>
    <t>Farrier Business Cost Calculator – Overhead</t>
  </si>
  <si>
    <t>Enter Unit cost and Qty/year for each line. Annual cost auto-calculates and flows into Pricing.</t>
  </si>
  <si>
    <t>Overhead subtotal:</t>
  </si>
  <si>
    <t>Assets (Long &amp; Short Term) – Depreciation</t>
  </si>
  <si>
    <t>Enter purchase cost, useful life, and salvage value. Annual depreciation auto-calculates and is added to overhead.</t>
  </si>
  <si>
    <t>Total annual depreciation:</t>
  </si>
  <si>
    <t>Consumables per Service (COGS)</t>
  </si>
  <si>
    <t>Set unit costs and typical usage per Shoeing vs Trim. Per-job cost auto-calculates and flows into Pricing.</t>
  </si>
  <si>
    <t>Consumables subtotal:</t>
  </si>
  <si>
    <t>Vehicle &amp; Travel Inputs</t>
  </si>
  <si>
    <t>Derived metrics</t>
  </si>
  <si>
    <t>Fuel cost per mile ($/mi):</t>
  </si>
  <si>
    <t>Variable vehicle cost ($/mi):</t>
  </si>
  <si>
    <t>Variable cost per appointment:</t>
  </si>
  <si>
    <t>Annual fixed vehicle cost:</t>
  </si>
  <si>
    <t>Work, Fees &amp; Time Assumptions</t>
  </si>
  <si>
    <t>Books &amp; Service Mix</t>
  </si>
  <si>
    <t>Derived service volume</t>
  </si>
  <si>
    <t>Annual shoeing services:</t>
  </si>
  <si>
    <t>Annual trim services:</t>
  </si>
  <si>
    <t>Total annual services:</t>
  </si>
  <si>
    <t>Annual billable hours (labor only):</t>
  </si>
  <si>
    <t>Annual travel hours (per appt):</t>
  </si>
  <si>
    <t>Total billable hours (labor+travel):</t>
  </si>
  <si>
    <t>Service Pricing Model (Shoeing &amp; Trim)</t>
  </si>
  <si>
    <t>Overhead subtotal (Overhead!D total):</t>
  </si>
  <si>
    <t>Annual depreciation (Assets!F total):</t>
  </si>
  <si>
    <t>Annual fixed vehicle cost (Vehicle!E9):</t>
  </si>
  <si>
    <t>Total fixed overhead (annual):</t>
  </si>
  <si>
    <t>Owner wage ($/hr):</t>
  </si>
  <si>
    <t>Payroll/self-employment burden:</t>
  </si>
  <si>
    <t>Payment processing fee:</t>
  </si>
  <si>
    <t>Desired profit margin on price:</t>
  </si>
  <si>
    <t>Hours per Shoeing:</t>
  </si>
  <si>
    <t>Hours per Trim:</t>
  </si>
  <si>
    <t>Travel time per appointment (hrs):</t>
  </si>
  <si>
    <t>Annual billable hours (from Books &amp; Mix):</t>
  </si>
  <si>
    <t>Overhead per billable hour:</t>
  </si>
  <si>
    <t>Vehicle variable cost per appointment:</t>
  </si>
  <si>
    <t>Consumables per Shoeing (subtotal):</t>
  </si>
  <si>
    <t>Consumables per Trim (subtotal):</t>
  </si>
  <si>
    <t>SHOEING — Cost build &amp; recommended price</t>
  </si>
  <si>
    <t>Labor cost (wage + burden):</t>
  </si>
  <si>
    <t>Allocated overhead:</t>
  </si>
  <si>
    <t>Travel time cost:</t>
  </si>
  <si>
    <t>Vehicle variable (per appt):</t>
  </si>
  <si>
    <t>Consumables:</t>
  </si>
  <si>
    <t>Base cost (before fees &amp; profit):</t>
  </si>
  <si>
    <t>Payment fee (%)</t>
  </si>
  <si>
    <t>Target profit margin (%)</t>
  </si>
  <si>
    <t>Recommended price (algebraic):</t>
  </si>
  <si>
    <t>Rounded to nearest $5:</t>
  </si>
  <si>
    <t>TRIM — Cost build &amp; recommended price</t>
  </si>
  <si>
    <t>Farrier Business Cost Calculator – Overview</t>
  </si>
  <si>
    <t>This workbook computes total operating costs and recommended prices for shoeing and trimming a single horse.</t>
  </si>
  <si>
    <t>Workflow:</t>
  </si>
  <si>
    <t>1) Fill Overhead with annual costs.</t>
  </si>
  <si>
    <t>2) Enter Assets (purchase cost, life, salvage) to compute annual depreciation.</t>
  </si>
  <si>
    <t>3) Set Consumables and usage for Shoeing vs Trim.</t>
  </si>
  <si>
    <t>4) Enter Vehicle inputs (fuel, MPG, miles/appointment).</t>
  </si>
  <si>
    <t>5) Adjust Assumptions (wage, burden %, fees, profit margin, service times).</t>
  </si>
  <si>
    <t>6) In Books &amp; Mix, enter your horses in books and cycles per year for shoeing and trim.</t>
  </si>
  <si>
    <t>7) Pricing sheet pulls volumes to allocate overhead/hour and compute recommended prices (E15 &amp; E30).</t>
  </si>
  <si>
    <t>Generated on 2025-09-11 00:35</t>
  </si>
  <si>
    <t>Propane</t>
  </si>
  <si>
    <t>Truck Plus Trailer/Cap Insert/Full Insert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</si>
</sst>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 applyAlignment="1">
      <alignment horizontal="center" vertical="top"/>
    </xf>
    <xf numFmtId="164" fontId="2" fillId="0" borderId="2" xfId="0" applyNumberFormat="1" applyFont="1" applyBorder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D17" sqref="D17"/>
    </sheetView>
  </sheetViews>
  <sheetFormatPr baseColWidth="10" defaultColWidth="8.83203125" defaultRowHeight="15" x14ac:dyDescent="0.2"/>
  <cols>
    <col min="1" max="1" width="46.6640625" customWidth="1"/>
    <col min="2" max="2" width="16.6640625" style="1" customWidth="1"/>
    <col min="3" max="3" width="12.6640625" customWidth="1"/>
    <col min="4" max="4" width="18.6640625" style="1" customWidth="1"/>
  </cols>
  <sheetData>
    <row r="1" spans="1:4" ht="21" x14ac:dyDescent="0.25">
      <c r="A1" s="2" t="s">
        <v>87</v>
      </c>
    </row>
    <row r="3" spans="1:4" x14ac:dyDescent="0.2">
      <c r="A3" t="s">
        <v>88</v>
      </c>
    </row>
    <row r="7" spans="1:4" s="3" customFormat="1" x14ac:dyDescent="0.2">
      <c r="A7" s="4" t="s">
        <v>0</v>
      </c>
      <c r="B7" s="4" t="s">
        <v>1</v>
      </c>
      <c r="C7" s="4" t="s">
        <v>2</v>
      </c>
      <c r="D7" s="4" t="s">
        <v>3</v>
      </c>
    </row>
    <row r="8" spans="1:4" x14ac:dyDescent="0.2">
      <c r="A8" t="s">
        <v>4</v>
      </c>
      <c r="C8">
        <v>1</v>
      </c>
      <c r="D8" s="1">
        <v>1700</v>
      </c>
    </row>
    <row r="9" spans="1:4" x14ac:dyDescent="0.2">
      <c r="A9" t="s">
        <v>5</v>
      </c>
      <c r="C9">
        <v>1</v>
      </c>
      <c r="D9" s="1">
        <v>10000</v>
      </c>
    </row>
    <row r="10" spans="1:4" x14ac:dyDescent="0.2">
      <c r="A10" t="s">
        <v>6</v>
      </c>
      <c r="C10">
        <v>1</v>
      </c>
      <c r="D10" s="1">
        <f t="shared" ref="D10:D18" si="0">IFERROR(B10*C10,0)</f>
        <v>0</v>
      </c>
    </row>
    <row r="11" spans="1:4" x14ac:dyDescent="0.2">
      <c r="A11" t="s">
        <v>7</v>
      </c>
      <c r="C11">
        <v>1</v>
      </c>
      <c r="D11" s="1">
        <v>7000</v>
      </c>
    </row>
    <row r="12" spans="1:4" x14ac:dyDescent="0.2">
      <c r="A12" t="s">
        <v>8</v>
      </c>
      <c r="C12">
        <v>1</v>
      </c>
      <c r="D12" s="1">
        <f t="shared" si="0"/>
        <v>0</v>
      </c>
    </row>
    <row r="13" spans="1:4" x14ac:dyDescent="0.2">
      <c r="A13" t="s">
        <v>9</v>
      </c>
      <c r="C13">
        <v>12</v>
      </c>
      <c r="D13" s="1">
        <f t="shared" si="0"/>
        <v>0</v>
      </c>
    </row>
    <row r="14" spans="1:4" x14ac:dyDescent="0.2">
      <c r="A14" t="s">
        <v>10</v>
      </c>
      <c r="C14">
        <v>12</v>
      </c>
      <c r="D14" s="1">
        <v>1000</v>
      </c>
    </row>
    <row r="15" spans="1:4" x14ac:dyDescent="0.2">
      <c r="A15" t="s">
        <v>11</v>
      </c>
      <c r="C15">
        <v>1</v>
      </c>
      <c r="D15" s="1">
        <v>1000</v>
      </c>
    </row>
    <row r="16" spans="1:4" x14ac:dyDescent="0.2">
      <c r="A16" t="s">
        <v>12</v>
      </c>
      <c r="C16">
        <v>1</v>
      </c>
      <c r="D16" s="1">
        <f t="shared" si="0"/>
        <v>0</v>
      </c>
    </row>
    <row r="17" spans="1:4" x14ac:dyDescent="0.2">
      <c r="A17" t="s">
        <v>13</v>
      </c>
      <c r="C17">
        <v>1</v>
      </c>
      <c r="D17" s="1">
        <f t="shared" si="0"/>
        <v>0</v>
      </c>
    </row>
    <row r="18" spans="1:4" x14ac:dyDescent="0.2">
      <c r="A18" t="s">
        <v>14</v>
      </c>
      <c r="C18">
        <v>12</v>
      </c>
      <c r="D18" s="1">
        <f t="shared" si="0"/>
        <v>0</v>
      </c>
    </row>
    <row r="19" spans="1:4" x14ac:dyDescent="0.2">
      <c r="C19" s="3" t="s">
        <v>89</v>
      </c>
      <c r="D19" s="5">
        <f>SUM(D8:D18)</f>
        <v>20700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topLeftCell="A5" workbookViewId="0">
      <selection activeCell="I40" sqref="I40"/>
    </sheetView>
  </sheetViews>
  <sheetFormatPr baseColWidth="10" defaultColWidth="8.83203125" defaultRowHeight="15" x14ac:dyDescent="0.2"/>
  <cols>
    <col min="1" max="1" width="34.6640625" customWidth="1"/>
    <col min="2" max="2" width="20.6640625" customWidth="1"/>
    <col min="3" max="3" width="16.6640625" style="1" customWidth="1"/>
    <col min="4" max="4" width="14.6640625" customWidth="1"/>
    <col min="5" max="5" width="21.6640625" style="1" bestFit="1" customWidth="1"/>
    <col min="6" max="6" width="22.6640625" style="1" customWidth="1"/>
  </cols>
  <sheetData>
    <row r="1" spans="1:6" ht="21" x14ac:dyDescent="0.25">
      <c r="A1" s="2" t="s">
        <v>90</v>
      </c>
    </row>
    <row r="3" spans="1:6" x14ac:dyDescent="0.2">
      <c r="A3" t="s">
        <v>91</v>
      </c>
    </row>
    <row r="7" spans="1:6" s="3" customFormat="1" x14ac:dyDescent="0.2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</row>
    <row r="8" spans="1:6" x14ac:dyDescent="0.2">
      <c r="A8" t="s">
        <v>21</v>
      </c>
      <c r="B8" t="s">
        <v>53</v>
      </c>
      <c r="C8" s="1">
        <v>800</v>
      </c>
      <c r="D8">
        <v>15</v>
      </c>
      <c r="E8" s="1">
        <v>80</v>
      </c>
      <c r="F8" s="1">
        <f t="shared" ref="F8:F40" si="0">IFERROR((C8-E8)/D8,0)</f>
        <v>48</v>
      </c>
    </row>
    <row r="9" spans="1:6" x14ac:dyDescent="0.2">
      <c r="A9" t="s">
        <v>22</v>
      </c>
      <c r="B9" t="s">
        <v>53</v>
      </c>
      <c r="C9" s="1">
        <v>1000</v>
      </c>
      <c r="D9">
        <v>40</v>
      </c>
      <c r="E9" s="1">
        <v>100</v>
      </c>
      <c r="F9" s="1">
        <f t="shared" si="0"/>
        <v>22.5</v>
      </c>
    </row>
    <row r="10" spans="1:6" x14ac:dyDescent="0.2">
      <c r="A10" t="s">
        <v>23</v>
      </c>
      <c r="B10" t="s">
        <v>53</v>
      </c>
      <c r="C10" s="1">
        <v>400</v>
      </c>
      <c r="D10">
        <v>40</v>
      </c>
      <c r="E10" s="1">
        <v>40</v>
      </c>
      <c r="F10" s="1">
        <f t="shared" si="0"/>
        <v>9</v>
      </c>
    </row>
    <row r="11" spans="1:6" x14ac:dyDescent="0.2">
      <c r="A11" t="s">
        <v>24</v>
      </c>
      <c r="B11" t="s">
        <v>53</v>
      </c>
      <c r="C11" s="1">
        <v>250</v>
      </c>
      <c r="D11">
        <v>2</v>
      </c>
      <c r="E11" s="1">
        <v>25</v>
      </c>
      <c r="F11" s="1">
        <f t="shared" si="0"/>
        <v>112.5</v>
      </c>
    </row>
    <row r="12" spans="1:6" x14ac:dyDescent="0.2">
      <c r="A12" t="s">
        <v>25</v>
      </c>
      <c r="B12" t="s">
        <v>53</v>
      </c>
      <c r="C12" s="1">
        <v>20</v>
      </c>
      <c r="D12">
        <v>1</v>
      </c>
      <c r="E12" s="1">
        <v>2</v>
      </c>
      <c r="F12" s="1">
        <f t="shared" si="0"/>
        <v>18</v>
      </c>
    </row>
    <row r="13" spans="1:6" x14ac:dyDescent="0.2">
      <c r="A13" t="s">
        <v>26</v>
      </c>
      <c r="B13" t="s">
        <v>53</v>
      </c>
      <c r="C13" s="1">
        <v>10</v>
      </c>
      <c r="D13">
        <v>2</v>
      </c>
      <c r="E13" s="1">
        <v>1</v>
      </c>
      <c r="F13" s="1">
        <f t="shared" si="0"/>
        <v>4.5</v>
      </c>
    </row>
    <row r="14" spans="1:6" x14ac:dyDescent="0.2">
      <c r="A14" t="s">
        <v>27</v>
      </c>
      <c r="B14" t="s">
        <v>53</v>
      </c>
      <c r="C14" s="1">
        <v>70</v>
      </c>
      <c r="D14">
        <v>5</v>
      </c>
      <c r="E14" s="1">
        <v>7</v>
      </c>
      <c r="F14" s="1">
        <f t="shared" si="0"/>
        <v>12.6</v>
      </c>
    </row>
    <row r="15" spans="1:6" x14ac:dyDescent="0.2">
      <c r="A15" t="s">
        <v>28</v>
      </c>
      <c r="B15" t="s">
        <v>53</v>
      </c>
      <c r="C15" s="1">
        <v>80</v>
      </c>
      <c r="D15">
        <v>5</v>
      </c>
      <c r="E15" s="1">
        <v>8</v>
      </c>
      <c r="F15" s="1">
        <f t="shared" si="0"/>
        <v>14.4</v>
      </c>
    </row>
    <row r="16" spans="1:6" x14ac:dyDescent="0.2">
      <c r="A16" t="s">
        <v>29</v>
      </c>
      <c r="B16" t="s">
        <v>53</v>
      </c>
      <c r="C16" s="1">
        <v>40</v>
      </c>
      <c r="D16">
        <v>5</v>
      </c>
      <c r="E16" s="1">
        <v>4</v>
      </c>
      <c r="F16" s="1">
        <f t="shared" si="0"/>
        <v>7.2</v>
      </c>
    </row>
    <row r="17" spans="1:6" x14ac:dyDescent="0.2">
      <c r="A17" t="s">
        <v>30</v>
      </c>
      <c r="B17" t="s">
        <v>53</v>
      </c>
      <c r="C17" s="1">
        <v>100</v>
      </c>
      <c r="D17">
        <v>40</v>
      </c>
      <c r="E17" s="1">
        <v>10</v>
      </c>
      <c r="F17" s="1">
        <f t="shared" si="0"/>
        <v>2.25</v>
      </c>
    </row>
    <row r="18" spans="1:6" x14ac:dyDescent="0.2">
      <c r="A18" t="s">
        <v>31</v>
      </c>
      <c r="B18" t="s">
        <v>53</v>
      </c>
      <c r="C18" s="1">
        <v>100</v>
      </c>
      <c r="D18">
        <v>40</v>
      </c>
      <c r="E18" s="1">
        <v>10</v>
      </c>
      <c r="F18" s="1">
        <f t="shared" si="0"/>
        <v>2.25</v>
      </c>
    </row>
    <row r="19" spans="1:6" x14ac:dyDescent="0.2">
      <c r="A19" t="s">
        <v>32</v>
      </c>
      <c r="B19" t="s">
        <v>53</v>
      </c>
      <c r="C19" s="1">
        <v>125</v>
      </c>
      <c r="D19">
        <v>5</v>
      </c>
      <c r="E19" s="1">
        <v>12.5</v>
      </c>
      <c r="F19" s="1">
        <f t="shared" si="0"/>
        <v>22.5</v>
      </c>
    </row>
    <row r="20" spans="1:6" x14ac:dyDescent="0.2">
      <c r="A20" t="s">
        <v>33</v>
      </c>
      <c r="B20" t="s">
        <v>53</v>
      </c>
      <c r="C20" s="1">
        <v>5</v>
      </c>
      <c r="D20">
        <v>5</v>
      </c>
      <c r="E20" s="1">
        <v>0</v>
      </c>
      <c r="F20" s="1">
        <f t="shared" si="0"/>
        <v>1</v>
      </c>
    </row>
    <row r="21" spans="1:6" x14ac:dyDescent="0.2">
      <c r="A21" t="s">
        <v>34</v>
      </c>
      <c r="B21" t="s">
        <v>53</v>
      </c>
      <c r="C21" s="1">
        <v>80</v>
      </c>
      <c r="D21">
        <v>40</v>
      </c>
      <c r="E21" s="1">
        <v>8</v>
      </c>
      <c r="F21" s="1">
        <f t="shared" si="0"/>
        <v>1.8</v>
      </c>
    </row>
    <row r="22" spans="1:6" x14ac:dyDescent="0.2">
      <c r="A22" t="s">
        <v>35</v>
      </c>
      <c r="B22" t="s">
        <v>53</v>
      </c>
      <c r="C22" s="1">
        <v>300</v>
      </c>
      <c r="D22">
        <v>2</v>
      </c>
      <c r="E22" s="1">
        <v>30</v>
      </c>
      <c r="F22" s="1">
        <f t="shared" si="0"/>
        <v>135</v>
      </c>
    </row>
    <row r="23" spans="1:6" x14ac:dyDescent="0.2">
      <c r="A23" t="s">
        <v>36</v>
      </c>
      <c r="B23" t="s">
        <v>53</v>
      </c>
      <c r="C23" s="1">
        <v>100</v>
      </c>
      <c r="D23">
        <v>5</v>
      </c>
      <c r="E23" s="1">
        <v>1</v>
      </c>
      <c r="F23" s="1">
        <f t="shared" si="0"/>
        <v>19.8</v>
      </c>
    </row>
    <row r="24" spans="1:6" x14ac:dyDescent="0.2">
      <c r="A24" t="s">
        <v>37</v>
      </c>
      <c r="B24" t="s">
        <v>53</v>
      </c>
      <c r="C24" s="1">
        <v>250</v>
      </c>
      <c r="D24">
        <v>2</v>
      </c>
      <c r="E24" s="1">
        <v>25</v>
      </c>
      <c r="F24" s="1">
        <f t="shared" si="0"/>
        <v>112.5</v>
      </c>
    </row>
    <row r="25" spans="1:6" x14ac:dyDescent="0.2">
      <c r="A25" t="s">
        <v>38</v>
      </c>
      <c r="B25" t="s">
        <v>53</v>
      </c>
      <c r="C25" s="1">
        <v>100</v>
      </c>
      <c r="D25">
        <v>5</v>
      </c>
      <c r="E25" s="1">
        <v>10</v>
      </c>
      <c r="F25" s="1">
        <f t="shared" si="0"/>
        <v>18</v>
      </c>
    </row>
    <row r="26" spans="1:6" x14ac:dyDescent="0.2">
      <c r="A26" t="s">
        <v>39</v>
      </c>
      <c r="B26" t="s">
        <v>53</v>
      </c>
      <c r="C26" s="1">
        <v>50</v>
      </c>
      <c r="D26">
        <v>5</v>
      </c>
      <c r="E26" s="1">
        <v>5</v>
      </c>
      <c r="F26" s="1">
        <f t="shared" si="0"/>
        <v>9</v>
      </c>
    </row>
    <row r="27" spans="1:6" x14ac:dyDescent="0.2">
      <c r="A27" t="s">
        <v>40</v>
      </c>
      <c r="B27" t="s">
        <v>53</v>
      </c>
      <c r="C27" s="1">
        <v>1000</v>
      </c>
      <c r="D27">
        <v>7</v>
      </c>
      <c r="E27" s="1">
        <v>100</v>
      </c>
      <c r="F27" s="1">
        <f t="shared" si="0"/>
        <v>128.57142857142858</v>
      </c>
    </row>
    <row r="28" spans="1:6" x14ac:dyDescent="0.2">
      <c r="A28" t="s">
        <v>152</v>
      </c>
      <c r="B28" t="s">
        <v>53</v>
      </c>
      <c r="C28" s="1">
        <v>85000</v>
      </c>
      <c r="D28">
        <v>7</v>
      </c>
      <c r="E28" s="1">
        <v>8500</v>
      </c>
      <c r="F28" s="1">
        <f t="shared" si="0"/>
        <v>10928.571428571429</v>
      </c>
    </row>
    <row r="29" spans="1:6" x14ac:dyDescent="0.2">
      <c r="A29" t="s">
        <v>41</v>
      </c>
      <c r="B29" t="s">
        <v>53</v>
      </c>
      <c r="C29" s="1">
        <v>400</v>
      </c>
      <c r="D29">
        <v>10</v>
      </c>
      <c r="E29" s="1">
        <v>40</v>
      </c>
      <c r="F29" s="1">
        <f t="shared" si="0"/>
        <v>36</v>
      </c>
    </row>
    <row r="30" spans="1:6" x14ac:dyDescent="0.2">
      <c r="A30" t="s">
        <v>42</v>
      </c>
      <c r="B30" t="s">
        <v>53</v>
      </c>
      <c r="C30" s="1">
        <v>200</v>
      </c>
      <c r="D30">
        <v>2</v>
      </c>
      <c r="E30" s="1">
        <v>20</v>
      </c>
      <c r="F30" s="1">
        <f t="shared" si="0"/>
        <v>90</v>
      </c>
    </row>
    <row r="31" spans="1:6" x14ac:dyDescent="0.2">
      <c r="A31" t="s">
        <v>43</v>
      </c>
      <c r="B31" t="s">
        <v>53</v>
      </c>
      <c r="C31" s="1">
        <v>250</v>
      </c>
      <c r="D31">
        <v>5</v>
      </c>
      <c r="E31" s="1">
        <v>25</v>
      </c>
      <c r="F31" s="1">
        <f t="shared" si="0"/>
        <v>45</v>
      </c>
    </row>
    <row r="32" spans="1:6" x14ac:dyDescent="0.2">
      <c r="A32" t="s">
        <v>44</v>
      </c>
      <c r="B32" t="s">
        <v>53</v>
      </c>
      <c r="C32" s="1">
        <v>60</v>
      </c>
      <c r="D32">
        <v>5</v>
      </c>
      <c r="E32" s="1">
        <v>6</v>
      </c>
      <c r="F32" s="1">
        <f t="shared" si="0"/>
        <v>10.8</v>
      </c>
    </row>
    <row r="33" spans="1:6" x14ac:dyDescent="0.2">
      <c r="A33" t="s">
        <v>45</v>
      </c>
      <c r="B33" t="s">
        <v>53</v>
      </c>
      <c r="C33" s="1">
        <v>70</v>
      </c>
      <c r="D33">
        <v>2</v>
      </c>
      <c r="E33" s="1">
        <v>7</v>
      </c>
      <c r="F33" s="1">
        <f t="shared" si="0"/>
        <v>31.5</v>
      </c>
    </row>
    <row r="34" spans="1:6" x14ac:dyDescent="0.2">
      <c r="A34" t="s">
        <v>46</v>
      </c>
      <c r="B34" t="s">
        <v>53</v>
      </c>
      <c r="C34" s="1">
        <v>150</v>
      </c>
      <c r="D34">
        <v>2</v>
      </c>
      <c r="E34" s="1">
        <v>15</v>
      </c>
      <c r="F34" s="1">
        <f t="shared" si="0"/>
        <v>67.5</v>
      </c>
    </row>
    <row r="35" spans="1:6" x14ac:dyDescent="0.2">
      <c r="A35" t="s">
        <v>47</v>
      </c>
      <c r="B35" t="s">
        <v>53</v>
      </c>
      <c r="C35" s="1">
        <v>500</v>
      </c>
      <c r="D35">
        <v>5</v>
      </c>
      <c r="E35" s="1">
        <v>50</v>
      </c>
      <c r="F35" s="1">
        <f t="shared" si="0"/>
        <v>90</v>
      </c>
    </row>
    <row r="36" spans="1:6" x14ac:dyDescent="0.2">
      <c r="A36" t="s">
        <v>48</v>
      </c>
      <c r="B36" t="s">
        <v>53</v>
      </c>
      <c r="C36" s="1">
        <v>300</v>
      </c>
      <c r="D36">
        <v>10</v>
      </c>
      <c r="E36" s="1">
        <v>30</v>
      </c>
      <c r="F36" s="1">
        <f t="shared" si="0"/>
        <v>27</v>
      </c>
    </row>
    <row r="37" spans="1:6" x14ac:dyDescent="0.2">
      <c r="A37" t="s">
        <v>49</v>
      </c>
      <c r="B37" t="s">
        <v>53</v>
      </c>
      <c r="C37" s="1">
        <v>10</v>
      </c>
      <c r="D37">
        <v>5</v>
      </c>
      <c r="E37" s="1">
        <v>2.5</v>
      </c>
      <c r="F37" s="1">
        <f t="shared" si="0"/>
        <v>1.5</v>
      </c>
    </row>
    <row r="38" spans="1:6" x14ac:dyDescent="0.2">
      <c r="A38" t="s">
        <v>50</v>
      </c>
      <c r="B38" t="s">
        <v>53</v>
      </c>
      <c r="C38" s="1">
        <v>25</v>
      </c>
      <c r="D38">
        <v>1</v>
      </c>
      <c r="E38" s="1">
        <v>2.5</v>
      </c>
      <c r="F38" s="1">
        <f t="shared" si="0"/>
        <v>22.5</v>
      </c>
    </row>
    <row r="39" spans="1:6" x14ac:dyDescent="0.2">
      <c r="A39" t="s">
        <v>51</v>
      </c>
      <c r="B39" t="s">
        <v>53</v>
      </c>
      <c r="C39" s="1">
        <v>25</v>
      </c>
      <c r="D39">
        <v>1</v>
      </c>
      <c r="E39" s="1">
        <v>2.5</v>
      </c>
      <c r="F39" s="1">
        <f t="shared" si="0"/>
        <v>22.5</v>
      </c>
    </row>
    <row r="40" spans="1:6" ht="16" thickBot="1" x14ac:dyDescent="0.25">
      <c r="A40" t="s">
        <v>52</v>
      </c>
      <c r="B40" t="s">
        <v>53</v>
      </c>
      <c r="C40" s="1">
        <v>25</v>
      </c>
      <c r="D40">
        <v>1</v>
      </c>
      <c r="E40" s="1">
        <v>2.5</v>
      </c>
      <c r="F40" s="1">
        <f t="shared" si="0"/>
        <v>22.5</v>
      </c>
    </row>
    <row r="41" spans="1:6" x14ac:dyDescent="0.2">
      <c r="E41" s="3" t="s">
        <v>92</v>
      </c>
      <c r="F41" s="5">
        <f>SUM(F8:F40)</f>
        <v>12096.742857142857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>
      <selection activeCell="F20" sqref="F20"/>
    </sheetView>
  </sheetViews>
  <sheetFormatPr baseColWidth="10" defaultColWidth="8.83203125" defaultRowHeight="15" x14ac:dyDescent="0.2"/>
  <cols>
    <col min="1" max="1" width="34.6640625" customWidth="1"/>
    <col min="2" max="2" width="16.6640625" style="1" customWidth="1"/>
    <col min="3" max="4" width="18.6640625" customWidth="1"/>
    <col min="5" max="6" width="20.6640625" style="1" customWidth="1"/>
  </cols>
  <sheetData>
    <row r="1" spans="1:6" ht="21" x14ac:dyDescent="0.25">
      <c r="A1" s="2" t="s">
        <v>93</v>
      </c>
    </row>
    <row r="3" spans="1:6" x14ac:dyDescent="0.2">
      <c r="A3" t="s">
        <v>94</v>
      </c>
    </row>
    <row r="7" spans="1:6" s="3" customFormat="1" x14ac:dyDescent="0.2">
      <c r="A7" s="4" t="s">
        <v>54</v>
      </c>
      <c r="B7" s="4" t="s">
        <v>1</v>
      </c>
      <c r="C7" s="4" t="s">
        <v>55</v>
      </c>
      <c r="D7" s="4" t="s">
        <v>56</v>
      </c>
      <c r="E7" s="4" t="s">
        <v>57</v>
      </c>
      <c r="F7" s="4" t="s">
        <v>58</v>
      </c>
    </row>
    <row r="8" spans="1:6" x14ac:dyDescent="0.2">
      <c r="A8" t="s">
        <v>59</v>
      </c>
      <c r="B8" s="1">
        <v>4</v>
      </c>
      <c r="C8">
        <v>4</v>
      </c>
      <c r="D8">
        <v>0</v>
      </c>
      <c r="E8" s="1">
        <f t="shared" ref="E8:E14" si="0">IFERROR(B8*C8,0)</f>
        <v>16</v>
      </c>
      <c r="F8" s="1">
        <f t="shared" ref="F8:F14" si="1">IFERROR(B8*D8,0)</f>
        <v>0</v>
      </c>
    </row>
    <row r="9" spans="1:6" x14ac:dyDescent="0.2">
      <c r="A9" t="s">
        <v>60</v>
      </c>
      <c r="B9" s="1">
        <v>27</v>
      </c>
      <c r="C9">
        <v>0.1</v>
      </c>
      <c r="D9">
        <v>0</v>
      </c>
      <c r="E9" s="1">
        <f t="shared" si="0"/>
        <v>2.7</v>
      </c>
      <c r="F9" s="1">
        <f t="shared" si="1"/>
        <v>0</v>
      </c>
    </row>
    <row r="10" spans="1:6" x14ac:dyDescent="0.2">
      <c r="A10" t="s">
        <v>61</v>
      </c>
      <c r="B10" s="1">
        <v>20</v>
      </c>
      <c r="C10">
        <v>0</v>
      </c>
      <c r="D10">
        <v>0</v>
      </c>
      <c r="E10" s="1">
        <f t="shared" si="0"/>
        <v>0</v>
      </c>
      <c r="F10" s="1">
        <f t="shared" si="1"/>
        <v>0</v>
      </c>
    </row>
    <row r="11" spans="1:6" x14ac:dyDescent="0.2">
      <c r="A11" t="s">
        <v>62</v>
      </c>
      <c r="B11" s="1">
        <v>30</v>
      </c>
      <c r="C11">
        <v>0</v>
      </c>
      <c r="D11">
        <v>0</v>
      </c>
      <c r="E11" s="1">
        <f>IFERROR(#REF!*C11,0)</f>
        <v>0</v>
      </c>
      <c r="F11" s="1">
        <f>IFERROR(#REF!*D11,0)</f>
        <v>0</v>
      </c>
    </row>
    <row r="12" spans="1:6" x14ac:dyDescent="0.2">
      <c r="A12" t="s">
        <v>63</v>
      </c>
      <c r="B12" s="1">
        <v>2</v>
      </c>
      <c r="C12">
        <v>0</v>
      </c>
      <c r="D12">
        <v>0</v>
      </c>
      <c r="E12" s="1">
        <f>IFERROR(B11*C12,0)</f>
        <v>0</v>
      </c>
      <c r="F12" s="1">
        <f>IFERROR(B11*D12,0)</f>
        <v>0</v>
      </c>
    </row>
    <row r="13" spans="1:6" x14ac:dyDescent="0.2">
      <c r="A13" t="s">
        <v>64</v>
      </c>
      <c r="B13" s="1">
        <v>2</v>
      </c>
      <c r="C13">
        <v>0.2</v>
      </c>
      <c r="D13">
        <v>0.2</v>
      </c>
      <c r="E13" s="1">
        <f t="shared" si="0"/>
        <v>0.4</v>
      </c>
      <c r="F13" s="1">
        <f t="shared" si="1"/>
        <v>0.4</v>
      </c>
    </row>
    <row r="14" spans="1:6" x14ac:dyDescent="0.2">
      <c r="A14" t="s">
        <v>151</v>
      </c>
      <c r="B14" s="1">
        <v>3.5</v>
      </c>
      <c r="C14">
        <v>1</v>
      </c>
      <c r="D14">
        <v>0</v>
      </c>
      <c r="E14" s="1">
        <f t="shared" si="0"/>
        <v>3.5</v>
      </c>
      <c r="F14" s="1">
        <f t="shared" si="1"/>
        <v>0</v>
      </c>
    </row>
    <row r="15" spans="1:6" x14ac:dyDescent="0.2">
      <c r="D15" s="3" t="s">
        <v>95</v>
      </c>
      <c r="E15" s="5">
        <f>SUM(E8:E14)</f>
        <v>22.599999999999998</v>
      </c>
      <c r="F15" s="5">
        <f>SUM(F8:F14)</f>
        <v>0.4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B16" sqref="B16"/>
    </sheetView>
  </sheetViews>
  <sheetFormatPr baseColWidth="10" defaultColWidth="8.83203125" defaultRowHeight="15" x14ac:dyDescent="0.2"/>
  <cols>
    <col min="1" max="1" width="42.6640625" customWidth="1"/>
    <col min="2" max="2" width="20.6640625" customWidth="1"/>
    <col min="4" max="4" width="24.83203125" bestFit="1" customWidth="1"/>
  </cols>
  <sheetData>
    <row r="1" spans="1:5" ht="21" x14ac:dyDescent="0.25">
      <c r="A1" s="2" t="s">
        <v>96</v>
      </c>
    </row>
    <row r="3" spans="1:5" x14ac:dyDescent="0.2">
      <c r="A3" s="4" t="s">
        <v>65</v>
      </c>
      <c r="B3" s="4" t="s">
        <v>66</v>
      </c>
      <c r="D3" s="6" t="s">
        <v>97</v>
      </c>
    </row>
    <row r="4" spans="1:5" x14ac:dyDescent="0.2">
      <c r="A4" t="s">
        <v>67</v>
      </c>
      <c r="B4">
        <v>4.5</v>
      </c>
    </row>
    <row r="5" spans="1:5" x14ac:dyDescent="0.2">
      <c r="A5" t="s">
        <v>68</v>
      </c>
      <c r="B5">
        <v>14</v>
      </c>
      <c r="D5" t="s">
        <v>98</v>
      </c>
      <c r="E5" s="1">
        <f>IFERROR(B4/B5,0)</f>
        <v>0.32142857142857145</v>
      </c>
    </row>
    <row r="6" spans="1:5" x14ac:dyDescent="0.2">
      <c r="A6" t="s">
        <v>69</v>
      </c>
      <c r="B6">
        <v>10</v>
      </c>
      <c r="D6" t="s">
        <v>99</v>
      </c>
      <c r="E6" s="1">
        <f>E5 + B7</f>
        <v>0.50142857142857145</v>
      </c>
    </row>
    <row r="7" spans="1:5" x14ac:dyDescent="0.2">
      <c r="A7" t="s">
        <v>70</v>
      </c>
      <c r="B7">
        <v>0.18</v>
      </c>
      <c r="D7" t="s">
        <v>100</v>
      </c>
      <c r="E7" s="1">
        <f>B6 * E6</f>
        <v>5.0142857142857142</v>
      </c>
    </row>
    <row r="8" spans="1:5" x14ac:dyDescent="0.2">
      <c r="A8" t="s">
        <v>71</v>
      </c>
      <c r="B8">
        <v>1800</v>
      </c>
    </row>
    <row r="9" spans="1:5" x14ac:dyDescent="0.2">
      <c r="A9" t="s">
        <v>72</v>
      </c>
      <c r="B9">
        <v>300</v>
      </c>
      <c r="D9" t="s">
        <v>101</v>
      </c>
      <c r="E9" s="1">
        <f>B7 + B8 + B9</f>
        <v>2100.1800000000003</v>
      </c>
    </row>
    <row r="10" spans="1:5" x14ac:dyDescent="0.2">
      <c r="A10" t="s">
        <v>73</v>
      </c>
      <c r="B10">
        <v>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>
      <selection activeCell="A14" sqref="A14"/>
    </sheetView>
  </sheetViews>
  <sheetFormatPr baseColWidth="10" defaultColWidth="8.83203125" defaultRowHeight="15" x14ac:dyDescent="0.2"/>
  <cols>
    <col min="1" max="1" width="44.6640625" customWidth="1"/>
    <col min="2" max="2" width="20.6640625" customWidth="1"/>
  </cols>
  <sheetData>
    <row r="1" spans="1:2" ht="21" x14ac:dyDescent="0.25">
      <c r="A1" s="2" t="s">
        <v>102</v>
      </c>
    </row>
    <row r="3" spans="1:2" x14ac:dyDescent="0.2">
      <c r="A3" s="4" t="s">
        <v>74</v>
      </c>
      <c r="B3" s="4" t="s">
        <v>66</v>
      </c>
    </row>
    <row r="4" spans="1:2" x14ac:dyDescent="0.2">
      <c r="A4" t="s">
        <v>75</v>
      </c>
      <c r="B4">
        <v>45</v>
      </c>
    </row>
    <row r="5" spans="1:2" x14ac:dyDescent="0.2">
      <c r="A5" t="s">
        <v>76</v>
      </c>
      <c r="B5" s="7">
        <v>0.15</v>
      </c>
    </row>
    <row r="6" spans="1:2" x14ac:dyDescent="0.2">
      <c r="A6" t="s">
        <v>77</v>
      </c>
      <c r="B6" s="7">
        <v>0.03</v>
      </c>
    </row>
    <row r="7" spans="1:2" x14ac:dyDescent="0.2">
      <c r="A7" t="s">
        <v>78</v>
      </c>
      <c r="B7" s="7">
        <v>0.3</v>
      </c>
    </row>
    <row r="8" spans="1:2" x14ac:dyDescent="0.2">
      <c r="A8" t="s">
        <v>79</v>
      </c>
      <c r="B8">
        <v>1.5</v>
      </c>
    </row>
    <row r="9" spans="1:2" x14ac:dyDescent="0.2">
      <c r="A9" t="s">
        <v>80</v>
      </c>
      <c r="B9">
        <v>0.5</v>
      </c>
    </row>
    <row r="10" spans="1:2" x14ac:dyDescent="0.2">
      <c r="A10" t="s">
        <v>81</v>
      </c>
      <c r="B10">
        <v>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workbookViewId="0">
      <selection activeCell="C23" sqref="C23"/>
    </sheetView>
  </sheetViews>
  <sheetFormatPr baseColWidth="10" defaultColWidth="8.83203125" defaultRowHeight="15" x14ac:dyDescent="0.2"/>
  <cols>
    <col min="1" max="1" width="44.6640625" customWidth="1"/>
    <col min="2" max="2" width="20.6640625" customWidth="1"/>
    <col min="4" max="4" width="27.1640625" bestFit="1" customWidth="1"/>
  </cols>
  <sheetData>
    <row r="1" spans="1:5" ht="21" x14ac:dyDescent="0.25">
      <c r="A1" s="2" t="s">
        <v>103</v>
      </c>
    </row>
    <row r="3" spans="1:5" x14ac:dyDescent="0.2">
      <c r="A3" s="4" t="s">
        <v>82</v>
      </c>
      <c r="B3" s="4" t="s">
        <v>66</v>
      </c>
      <c r="D3" s="6" t="s">
        <v>104</v>
      </c>
    </row>
    <row r="4" spans="1:5" x14ac:dyDescent="0.2">
      <c r="A4" t="s">
        <v>83</v>
      </c>
      <c r="B4">
        <v>120</v>
      </c>
    </row>
    <row r="5" spans="1:5" x14ac:dyDescent="0.2">
      <c r="A5" t="s">
        <v>84</v>
      </c>
      <c r="B5">
        <v>200</v>
      </c>
      <c r="D5" t="s">
        <v>105</v>
      </c>
      <c r="E5">
        <f>B4*B6</f>
        <v>720</v>
      </c>
    </row>
    <row r="6" spans="1:5" x14ac:dyDescent="0.2">
      <c r="A6" t="s">
        <v>85</v>
      </c>
      <c r="B6">
        <v>6</v>
      </c>
      <c r="D6" t="s">
        <v>106</v>
      </c>
      <c r="E6">
        <f>B5*B7</f>
        <v>1200</v>
      </c>
    </row>
    <row r="7" spans="1:5" x14ac:dyDescent="0.2">
      <c r="A7" t="s">
        <v>86</v>
      </c>
      <c r="B7">
        <v>6</v>
      </c>
    </row>
    <row r="8" spans="1:5" x14ac:dyDescent="0.2">
      <c r="D8" t="s">
        <v>107</v>
      </c>
      <c r="E8">
        <f>E5+E6</f>
        <v>1920</v>
      </c>
    </row>
    <row r="10" spans="1:5" x14ac:dyDescent="0.2">
      <c r="D10" t="s">
        <v>108</v>
      </c>
      <c r="E10">
        <f>E5*Assumptions!B6 + E6*Assumptions!B7</f>
        <v>381.6</v>
      </c>
    </row>
    <row r="11" spans="1:5" x14ac:dyDescent="0.2">
      <c r="D11" t="s">
        <v>109</v>
      </c>
      <c r="E11">
        <f>E8*Assumptions!B8</f>
        <v>2880</v>
      </c>
    </row>
    <row r="12" spans="1:5" x14ac:dyDescent="0.2">
      <c r="D12" t="s">
        <v>110</v>
      </c>
      <c r="E12">
        <f>E10+E11</f>
        <v>3261.6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0"/>
  <sheetViews>
    <sheetView workbookViewId="0">
      <selection activeCell="C22" sqref="C22"/>
    </sheetView>
  </sheetViews>
  <sheetFormatPr baseColWidth="10" defaultColWidth="8.83203125" defaultRowHeight="15" x14ac:dyDescent="0.2"/>
  <cols>
    <col min="1" max="1" width="44.6640625" customWidth="1"/>
    <col min="2" max="5" width="22.6640625" customWidth="1"/>
  </cols>
  <sheetData>
    <row r="1" spans="1:5" ht="21" x14ac:dyDescent="0.25">
      <c r="A1" s="2" t="s">
        <v>111</v>
      </c>
    </row>
    <row r="3" spans="1:5" x14ac:dyDescent="0.2">
      <c r="A3" t="s">
        <v>112</v>
      </c>
      <c r="B3" s="1">
        <f>Overhead!D19</f>
        <v>20700</v>
      </c>
      <c r="D3" s="6" t="s">
        <v>128</v>
      </c>
    </row>
    <row r="4" spans="1:5" x14ac:dyDescent="0.2">
      <c r="A4" t="s">
        <v>113</v>
      </c>
      <c r="B4" s="1">
        <f>Assets!F41</f>
        <v>12096.742857142857</v>
      </c>
    </row>
    <row r="5" spans="1:5" x14ac:dyDescent="0.2">
      <c r="A5" t="s">
        <v>114</v>
      </c>
      <c r="B5" s="1">
        <f>Vehicle!E9</f>
        <v>2100.1800000000003</v>
      </c>
      <c r="D5" t="s">
        <v>129</v>
      </c>
      <c r="E5" s="1">
        <f>B13*B8*(1+B9)</f>
        <v>77.625</v>
      </c>
    </row>
    <row r="6" spans="1:5" x14ac:dyDescent="0.2">
      <c r="A6" t="s">
        <v>115</v>
      </c>
      <c r="B6" s="5">
        <f>SUM(B3:B5)</f>
        <v>34896.922857142861</v>
      </c>
      <c r="D6" t="s">
        <v>130</v>
      </c>
      <c r="E6" s="1">
        <f>B13*B18</f>
        <v>16.048989540628614</v>
      </c>
    </row>
    <row r="7" spans="1:5" x14ac:dyDescent="0.2">
      <c r="D7" t="s">
        <v>131</v>
      </c>
      <c r="E7" s="1">
        <f>B15*B8*(1+B9)</f>
        <v>25.874999999999996</v>
      </c>
    </row>
    <row r="8" spans="1:5" x14ac:dyDescent="0.2">
      <c r="A8" t="s">
        <v>116</v>
      </c>
      <c r="B8" s="1">
        <f>Assumptions!B4</f>
        <v>45</v>
      </c>
      <c r="D8" t="s">
        <v>132</v>
      </c>
      <c r="E8" s="1">
        <f>B20</f>
        <v>5.0142857142857142</v>
      </c>
    </row>
    <row r="9" spans="1:5" x14ac:dyDescent="0.2">
      <c r="A9" t="s">
        <v>117</v>
      </c>
      <c r="B9" s="7">
        <f>Assumptions!B5</f>
        <v>0.15</v>
      </c>
      <c r="D9" t="s">
        <v>133</v>
      </c>
      <c r="E9" s="1">
        <f>B22</f>
        <v>22.599999999999998</v>
      </c>
    </row>
    <row r="10" spans="1:5" x14ac:dyDescent="0.2">
      <c r="A10" t="s">
        <v>118</v>
      </c>
      <c r="B10" s="7">
        <f>Assumptions!B6</f>
        <v>0.03</v>
      </c>
      <c r="D10" t="s">
        <v>134</v>
      </c>
      <c r="E10" s="5">
        <f>SUM(E5:E9)</f>
        <v>147.16327525491434</v>
      </c>
    </row>
    <row r="11" spans="1:5" x14ac:dyDescent="0.2">
      <c r="A11" t="s">
        <v>119</v>
      </c>
      <c r="B11" s="7">
        <f>Assumptions!B7</f>
        <v>0.3</v>
      </c>
    </row>
    <row r="12" spans="1:5" x14ac:dyDescent="0.2">
      <c r="D12" t="s">
        <v>135</v>
      </c>
      <c r="E12" s="7">
        <f>B10</f>
        <v>0.03</v>
      </c>
    </row>
    <row r="13" spans="1:5" x14ac:dyDescent="0.2">
      <c r="A13" t="s">
        <v>120</v>
      </c>
      <c r="B13" s="7">
        <f>Assumptions!B8</f>
        <v>1.5</v>
      </c>
      <c r="D13" t="s">
        <v>136</v>
      </c>
      <c r="E13" s="7">
        <f>B11</f>
        <v>0.3</v>
      </c>
    </row>
    <row r="14" spans="1:5" x14ac:dyDescent="0.2">
      <c r="A14" t="s">
        <v>121</v>
      </c>
      <c r="B14">
        <f>Assumptions!B9</f>
        <v>0.5</v>
      </c>
      <c r="D14" t="s">
        <v>137</v>
      </c>
      <c r="E14" s="5">
        <f>IF(1-(E12+E13)&lt;=0,NA(),E10/(1-(E12+E13)))</f>
        <v>219.64667948494676</v>
      </c>
    </row>
    <row r="15" spans="1:5" x14ac:dyDescent="0.2">
      <c r="A15" t="s">
        <v>122</v>
      </c>
      <c r="B15">
        <f>Assumptions!B9</f>
        <v>0.5</v>
      </c>
      <c r="D15" t="s">
        <v>138</v>
      </c>
      <c r="E15" s="1">
        <f>MROUND(E14,5)</f>
        <v>220</v>
      </c>
    </row>
    <row r="17" spans="1:5" x14ac:dyDescent="0.2">
      <c r="A17" t="s">
        <v>123</v>
      </c>
      <c r="B17">
        <f>'Books &amp; Mix'!E12</f>
        <v>3261.6</v>
      </c>
    </row>
    <row r="18" spans="1:5" x14ac:dyDescent="0.2">
      <c r="A18" t="s">
        <v>124</v>
      </c>
      <c r="B18" s="1">
        <f>IFERROR(B6/B17,0)</f>
        <v>10.699326360419077</v>
      </c>
      <c r="D18" s="6" t="s">
        <v>139</v>
      </c>
    </row>
    <row r="20" spans="1:5" x14ac:dyDescent="0.2">
      <c r="A20" t="s">
        <v>125</v>
      </c>
      <c r="B20" s="1">
        <f>Vehicle!E7</f>
        <v>5.0142857142857142</v>
      </c>
      <c r="D20" t="s">
        <v>129</v>
      </c>
      <c r="E20" s="1">
        <f>B14*B8*(1+B9)</f>
        <v>25.874999999999996</v>
      </c>
    </row>
    <row r="21" spans="1:5" x14ac:dyDescent="0.2">
      <c r="D21" t="s">
        <v>130</v>
      </c>
      <c r="E21" s="1">
        <f>B14*B18</f>
        <v>5.3496631802095385</v>
      </c>
    </row>
    <row r="22" spans="1:5" x14ac:dyDescent="0.2">
      <c r="A22" t="s">
        <v>126</v>
      </c>
      <c r="B22" s="1">
        <f>Consumables!E15</f>
        <v>22.599999999999998</v>
      </c>
      <c r="D22" t="s">
        <v>131</v>
      </c>
      <c r="E22" s="1">
        <f>B15*B8*(1+B9)</f>
        <v>25.874999999999996</v>
      </c>
    </row>
    <row r="23" spans="1:5" x14ac:dyDescent="0.2">
      <c r="A23" t="s">
        <v>127</v>
      </c>
      <c r="B23" s="1">
        <f>Consumables!F15</f>
        <v>0.4</v>
      </c>
      <c r="D23" t="s">
        <v>132</v>
      </c>
      <c r="E23" s="1">
        <f>B20</f>
        <v>5.0142857142857142</v>
      </c>
    </row>
    <row r="24" spans="1:5" x14ac:dyDescent="0.2">
      <c r="D24" t="s">
        <v>133</v>
      </c>
      <c r="E24" s="1">
        <f>B23</f>
        <v>0.4</v>
      </c>
    </row>
    <row r="25" spans="1:5" x14ac:dyDescent="0.2">
      <c r="D25" t="s">
        <v>134</v>
      </c>
      <c r="E25" s="5">
        <f>SUM(E20:E24)</f>
        <v>62.513948894495243</v>
      </c>
    </row>
    <row r="27" spans="1:5" x14ac:dyDescent="0.2">
      <c r="D27" t="s">
        <v>135</v>
      </c>
      <c r="E27" s="7">
        <f>B10</f>
        <v>0.03</v>
      </c>
    </row>
    <row r="28" spans="1:5" x14ac:dyDescent="0.2">
      <c r="D28" t="s">
        <v>136</v>
      </c>
      <c r="E28" s="7">
        <f>B11</f>
        <v>0.3</v>
      </c>
    </row>
    <row r="29" spans="1:5" x14ac:dyDescent="0.2">
      <c r="D29" t="s">
        <v>137</v>
      </c>
      <c r="E29" s="5">
        <f>IF(1-(E27+E28)&lt;=0,NA(),E25/(1-(E27+E28)))</f>
        <v>93.304401335067524</v>
      </c>
    </row>
    <row r="30" spans="1:5" x14ac:dyDescent="0.2">
      <c r="D30" t="s">
        <v>138</v>
      </c>
      <c r="E30" s="1">
        <f>MROUND(E29,5)</f>
        <v>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4"/>
  <sheetViews>
    <sheetView workbookViewId="0">
      <selection activeCell="H23" sqref="H23"/>
    </sheetView>
  </sheetViews>
  <sheetFormatPr baseColWidth="10" defaultColWidth="8.83203125" defaultRowHeight="15" x14ac:dyDescent="0.2"/>
  <sheetData>
    <row r="1" spans="1:1" ht="21" x14ac:dyDescent="0.25">
      <c r="A1" s="2" t="s">
        <v>140</v>
      </c>
    </row>
    <row r="3" spans="1:1" x14ac:dyDescent="0.2">
      <c r="A3" t="s">
        <v>141</v>
      </c>
    </row>
    <row r="5" spans="1:1" x14ac:dyDescent="0.2">
      <c r="A5" s="6" t="s">
        <v>142</v>
      </c>
    </row>
    <row r="6" spans="1:1" x14ac:dyDescent="0.2">
      <c r="A6" t="s">
        <v>143</v>
      </c>
    </row>
    <row r="7" spans="1:1" x14ac:dyDescent="0.2">
      <c r="A7" t="s">
        <v>144</v>
      </c>
    </row>
    <row r="8" spans="1:1" x14ac:dyDescent="0.2">
      <c r="A8" t="s">
        <v>145</v>
      </c>
    </row>
    <row r="9" spans="1:1" x14ac:dyDescent="0.2">
      <c r="A9" t="s">
        <v>146</v>
      </c>
    </row>
    <row r="10" spans="1:1" x14ac:dyDescent="0.2">
      <c r="A10" t="s">
        <v>147</v>
      </c>
    </row>
    <row r="11" spans="1:1" x14ac:dyDescent="0.2">
      <c r="A11" t="s">
        <v>148</v>
      </c>
    </row>
    <row r="12" spans="1:1" x14ac:dyDescent="0.2">
      <c r="A12" t="s">
        <v>149</v>
      </c>
    </row>
    <row r="14" spans="1:1" x14ac:dyDescent="0.2">
      <c r="A14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Overhead</vt:lpstr>
      <vt:lpstr>Assets</vt:lpstr>
      <vt:lpstr>Consumables</vt:lpstr>
      <vt:lpstr>Vehicle</vt:lpstr>
      <vt:lpstr>Assumptions</vt:lpstr>
      <vt:lpstr>Books &amp; Mix</vt:lpstr>
      <vt:lpstr>Pricing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Maclaren Krueger</cp:lastModifiedBy>
  <dcterms:created xsi:type="dcterms:W3CDTF">2025-09-11T00:35:39Z</dcterms:created>
  <dcterms:modified xsi:type="dcterms:W3CDTF">2025-09-26T19:53:27Z</dcterms:modified>
</cp:coreProperties>
</file>